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13_ncr:1_{A0C35B53-813E-4EF7-B3F9-80BC4E9F2F9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omece aqui" sheetId="1" r:id="rId1"/>
    <sheet name="Resumo" sheetId="2" r:id="rId2"/>
    <sheet name="Carteira" sheetId="3" r:id="rId3"/>
    <sheet name="Referências" sheetId="4" r:id="rId4"/>
  </sheets>
  <calcPr calcId="191029"/>
</workbook>
</file>

<file path=xl/calcChain.xml><?xml version="1.0" encoding="utf-8"?>
<calcChain xmlns="http://schemas.openxmlformats.org/spreadsheetml/2006/main">
  <c r="C36" i="3" l="1"/>
  <c r="L35" i="3"/>
  <c r="K35" i="3"/>
  <c r="I35" i="3"/>
  <c r="H35" i="3"/>
  <c r="G35" i="3"/>
  <c r="L34" i="3"/>
  <c r="K34" i="3"/>
  <c r="I34" i="3"/>
  <c r="H34" i="3"/>
  <c r="G34" i="3"/>
  <c r="L33" i="3"/>
  <c r="K33" i="3"/>
  <c r="I33" i="3"/>
  <c r="H33" i="3"/>
  <c r="G33" i="3"/>
  <c r="L32" i="3"/>
  <c r="K32" i="3"/>
  <c r="H32" i="3"/>
  <c r="G32" i="3"/>
  <c r="L31" i="3"/>
  <c r="K31" i="3"/>
  <c r="H31" i="3"/>
  <c r="G31" i="3"/>
  <c r="L30" i="3"/>
  <c r="K30" i="3"/>
  <c r="H30" i="3"/>
  <c r="G30" i="3"/>
  <c r="L29" i="3"/>
  <c r="K29" i="3"/>
  <c r="H29" i="3"/>
  <c r="G29" i="3"/>
  <c r="L28" i="3"/>
  <c r="K28" i="3"/>
  <c r="H28" i="3"/>
  <c r="G28" i="3"/>
  <c r="L27" i="3"/>
  <c r="K27" i="3"/>
  <c r="H27" i="3"/>
  <c r="G27" i="3"/>
  <c r="L26" i="3"/>
  <c r="K26" i="3"/>
  <c r="H26" i="3"/>
  <c r="G26" i="3"/>
  <c r="L25" i="3"/>
  <c r="K25" i="3"/>
  <c r="H25" i="3"/>
  <c r="G25" i="3"/>
  <c r="L24" i="3"/>
  <c r="K24" i="3"/>
  <c r="H24" i="3"/>
  <c r="G24" i="3"/>
  <c r="L23" i="3"/>
  <c r="K23" i="3"/>
  <c r="H23" i="3"/>
  <c r="G23" i="3"/>
  <c r="L22" i="3"/>
  <c r="K22" i="3"/>
  <c r="H22" i="3"/>
  <c r="G22" i="3"/>
  <c r="L21" i="3"/>
  <c r="K21" i="3"/>
  <c r="H21" i="3"/>
  <c r="G21" i="3"/>
  <c r="L20" i="3"/>
  <c r="K20" i="3"/>
  <c r="H20" i="3"/>
  <c r="G20" i="3"/>
  <c r="L19" i="3"/>
  <c r="K19" i="3"/>
  <c r="H19" i="3"/>
  <c r="G19" i="3"/>
  <c r="L18" i="3"/>
  <c r="K18" i="3"/>
  <c r="H18" i="3"/>
  <c r="G18" i="3"/>
  <c r="L17" i="3"/>
  <c r="K17" i="3"/>
  <c r="H17" i="3"/>
  <c r="G17" i="3"/>
  <c r="K16" i="3"/>
  <c r="G16" i="3"/>
  <c r="K15" i="3"/>
  <c r="G15" i="3"/>
  <c r="K14" i="3"/>
  <c r="G14" i="3"/>
  <c r="K13" i="3"/>
  <c r="I13" i="3"/>
  <c r="G13" i="3"/>
  <c r="K12" i="3"/>
  <c r="I12" i="3"/>
  <c r="G12" i="3"/>
  <c r="K11" i="3"/>
  <c r="I11" i="3"/>
  <c r="G11" i="3"/>
  <c r="I32" i="3" l="1"/>
  <c r="I31" i="3"/>
  <c r="I30" i="3"/>
  <c r="I29" i="3"/>
  <c r="C14" i="2"/>
  <c r="I28" i="3"/>
  <c r="I27" i="3"/>
  <c r="I26" i="3"/>
  <c r="I15" i="3"/>
  <c r="I25" i="3"/>
  <c r="I24" i="3"/>
  <c r="I23" i="3"/>
  <c r="I22" i="3"/>
  <c r="I16" i="3"/>
  <c r="C5" i="2"/>
  <c r="I21" i="3"/>
  <c r="I20" i="3"/>
  <c r="I19" i="3"/>
  <c r="I18" i="3"/>
  <c r="I17" i="3"/>
  <c r="I14" i="3"/>
  <c r="C16" i="2"/>
  <c r="C15" i="2"/>
  <c r="H16" i="3"/>
  <c r="L16" i="3"/>
  <c r="H15" i="3"/>
  <c r="L15" i="3"/>
  <c r="L14" i="3"/>
  <c r="H14" i="3"/>
  <c r="H13" i="3"/>
  <c r="L13" i="3"/>
  <c r="H12" i="3"/>
  <c r="L12" i="3"/>
  <c r="L11" i="3"/>
  <c r="H11" i="3"/>
  <c r="H36" i="3" l="1"/>
  <c r="C6" i="2"/>
  <c r="C7" i="2"/>
  <c r="J14" i="3"/>
  <c r="J17" i="3"/>
  <c r="J16" i="3"/>
  <c r="J18" i="3"/>
  <c r="J19" i="3"/>
  <c r="L36" i="3"/>
  <c r="J20" i="3" l="1"/>
  <c r="J21" i="3"/>
  <c r="J22" i="3"/>
  <c r="J23" i="3"/>
  <c r="J24" i="3"/>
  <c r="J25" i="3"/>
  <c r="J15" i="3"/>
  <c r="J26" i="3"/>
  <c r="J27" i="3"/>
  <c r="J28" i="3"/>
  <c r="J11" i="3"/>
  <c r="J12" i="3"/>
  <c r="J13" i="3"/>
  <c r="J29" i="3"/>
  <c r="J30" i="3"/>
  <c r="J31" i="3"/>
  <c r="J32" i="3"/>
  <c r="J33" i="3"/>
  <c r="J34" i="3"/>
  <c r="J35" i="3"/>
  <c r="G36" i="3"/>
  <c r="B3" i="2" s="1"/>
  <c r="C8" i="2"/>
  <c r="C10" i="2"/>
  <c r="C9" i="2"/>
  <c r="D14" i="2" l="1"/>
  <c r="E14" i="2" s="1"/>
  <c r="D15" i="2"/>
  <c r="E15" i="2" s="1"/>
  <c r="D16" i="2"/>
  <c r="E16" i="2" s="1"/>
  <c r="F16" i="2"/>
  <c r="G16" i="2" s="1"/>
  <c r="F15" i="2"/>
  <c r="F14" i="2"/>
  <c r="G15" i="2" l="1"/>
  <c r="G14" i="2"/>
</calcChain>
</file>

<file path=xl/sharedStrings.xml><?xml version="1.0" encoding="utf-8"?>
<sst xmlns="http://schemas.openxmlformats.org/spreadsheetml/2006/main" count="93" uniqueCount="82">
  <si>
    <t>Raio-X de custos da carteira</t>
  </si>
  <si>
    <t>Grupo Represa Planejamento Patrimonial · Patrimônio feito para durar</t>
  </si>
  <si>
    <t>Como usar</t>
  </si>
  <si>
    <t>1. Na aba Carteira, preencha as células amarelas: nome, tipo, valor e as taxas de cada investimento.</t>
  </si>
  <si>
    <t>As taxas estão na lâmina de cada fundo e no regulamento da previdência. Digite em % ao ano (1,5% para 1,5%).</t>
  </si>
  <si>
    <t>2. Ajuste as três premissas no topo da aba Carteira.</t>
  </si>
  <si>
    <t>Retorno esperado antes das taxas, aporte mensal e quanto os fundos com performance batem o índice.</t>
  </si>
  <si>
    <t>3. Veja o resultado na aba Resumo.</t>
  </si>
  <si>
    <t>Custo por ano em reais, custo médio e o que as taxas levam em 10, 20 e 30 anos.</t>
  </si>
  <si>
    <t>4. As taxas de referência ficam na aba Referências e podem ser trocadas.</t>
  </si>
  <si>
    <t>São alternativas comparáveis encontradas hoje, como Tesouro Selic no lugar de fundo DI.</t>
  </si>
  <si>
    <t>Como a conta é feita</t>
  </si>
  <si>
    <t>Custo por ano = valor × (administração + performance × ganho acima do índice + custódia e outras).</t>
  </si>
  <si>
    <t>Projeção: saldo × [(1 + retorno) × (1 − custo)] por ano, com o aporte anual somado no fim de cada ano.</t>
  </si>
  <si>
    <t>CDB, LCI, LCA e COE não cobram taxa explícita. O custo vem embutido na taxa ou no preço e não entra nesta conta.</t>
  </si>
  <si>
    <t>Imposto de renda e come-cotas ficam de fora. O come-cotas antecipa o IR dos fundos em maio e novembro e soma um custo a mais.</t>
  </si>
  <si>
    <t>Simulação com fins educativos. As referências são exemplos de mercado, não indicam produto específico e não são recomendação de investimento.</t>
  </si>
  <si>
    <t>Células amarelas = para preencher. As demais são calculadas.</t>
  </si>
  <si>
    <t>O raio-X</t>
  </si>
  <si>
    <t>Patrimônio</t>
  </si>
  <si>
    <t>Custo por ano</t>
  </si>
  <si>
    <t>Custo por mês</t>
  </si>
  <si>
    <t>Custo médio da carteira (% a.a.)</t>
  </si>
  <si>
    <t>Custo médio com taxas de referência (% a.a.)</t>
  </si>
  <si>
    <t>Economia possível por ano</t>
  </si>
  <si>
    <t>O que as taxas levam com o tempo</t>
  </si>
  <si>
    <t>Prazo (anos)</t>
  </si>
  <si>
    <t>Sem nenhuma taxa</t>
  </si>
  <si>
    <t>Com as suas taxas</t>
  </si>
  <si>
    <t>O que as taxas levaram</t>
  </si>
  <si>
    <t>Com taxas de referência</t>
  </si>
  <si>
    <t>Diferença para a referência</t>
  </si>
  <si>
    <t>O gráfico cobre as seis primeiras linhas da carteira. Para incluir mais, clique nele e estenda o intervalo.</t>
  </si>
  <si>
    <t>Simulação com fins educativos. Não é recomendação de investimento.</t>
  </si>
  <si>
    <t>Sua carteira</t>
  </si>
  <si>
    <t>Preencha as células amarelas. Taxas em % ao ano.</t>
  </si>
  <si>
    <t>Retorno da carteira antes das taxas (% a.a.)</t>
  </si>
  <si>
    <t>Aporte por mês (R$)</t>
  </si>
  <si>
    <t>Quanto os fundos com performance batem o índice (% a.a.)</t>
  </si>
  <si>
    <t>Nome</t>
  </si>
  <si>
    <t>Tipo</t>
  </si>
  <si>
    <t>Valor</t>
  </si>
  <si>
    <t>Administração</t>
  </si>
  <si>
    <t>Performance</t>
  </si>
  <si>
    <t>Custódia e outras</t>
  </si>
  <si>
    <t>Custo (% a.a.)</t>
  </si>
  <si>
    <t>% do patrimônio</t>
  </si>
  <si>
    <t>% do custo</t>
  </si>
  <si>
    <t>Referência (% a.a.)</t>
  </si>
  <si>
    <t>Fundo DI do banco</t>
  </si>
  <si>
    <t>Fundo de renda fixa ou DI</t>
  </si>
  <si>
    <t>Previdência VGBL</t>
  </si>
  <si>
    <t>Previdência de renda fixa</t>
  </si>
  <si>
    <t>Multimercado</t>
  </si>
  <si>
    <t>Fundo multimercado</t>
  </si>
  <si>
    <t>Fundo de ações</t>
  </si>
  <si>
    <t>CDB do banco</t>
  </si>
  <si>
    <t>CDB, LCI, LCA ou debênture</t>
  </si>
  <si>
    <t>Tesouro IPCA+</t>
  </si>
  <si>
    <t>Tesouro Direto</t>
  </si>
  <si>
    <t>Total</t>
  </si>
  <si>
    <t>Taxas de referência por tipo de investimento</t>
  </si>
  <si>
    <t>Troque a referência se quiser comparar com outra alternativa. Vazio = sem comparação (a economia fica zero).</t>
  </si>
  <si>
    <t>Com o que comparo</t>
  </si>
  <si>
    <t>Tesouro Selic (taxa da B3 de 0,20% ao ano)</t>
  </si>
  <si>
    <t>Multimercado com 1% de administração</t>
  </si>
  <si>
    <t>ETF de índice de ações</t>
  </si>
  <si>
    <t>Plano de renda fixa com 0,5% de administração</t>
  </si>
  <si>
    <t>Previdência multimercado ou ações</t>
  </si>
  <si>
    <t>Plano com 0,8% de administração</t>
  </si>
  <si>
    <t>ETF</t>
  </si>
  <si>
    <t>ETF de índice de taxa baixa</t>
  </si>
  <si>
    <t>Fundo imobiliário (FII)</t>
  </si>
  <si>
    <t>Sem comparação: a taxa já sai do rendimento do fundo</t>
  </si>
  <si>
    <t>Taxa de custódia da B3</t>
  </si>
  <si>
    <t>Sem taxa explícita</t>
  </si>
  <si>
    <t>Ações direto na bolsa</t>
  </si>
  <si>
    <t>Sem taxa explícita (só corretagem)</t>
  </si>
  <si>
    <t>COE</t>
  </si>
  <si>
    <t>Custo embutido no preço, fora da conta</t>
  </si>
  <si>
    <t>Outro</t>
  </si>
  <si>
    <t>Sem comparação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</si>
</sst>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$&quot;\ #,##0;[Red]\-&quot;R$&quot;\ #,##0"/>
  </numFmts>
  <fonts count="9" x14ac:knownFonts="1">
    <font>
      <sz val="11"/>
      <color theme="1"/>
      <name val="Calibri"/>
      <family val="2"/>
      <scheme val="minor"/>
    </font>
    <font>
      <b/>
      <sz val="18"/>
      <color rgb="FF1D1E21"/>
      <name val="Georgia"/>
    </font>
    <font>
      <sz val="11"/>
      <color rgb="FF67635C"/>
      <name val="Calibri"/>
    </font>
    <font>
      <b/>
      <sz val="13"/>
      <color rgb="FF1D1E21"/>
      <name val="Georgia"/>
    </font>
    <font>
      <b/>
      <sz val="11"/>
      <color rgb="FF1D1E21"/>
      <name val="Calibri"/>
    </font>
    <font>
      <sz val="11"/>
      <color rgb="FF26272A"/>
      <name val="Calibri"/>
    </font>
    <font>
      <b/>
      <sz val="10"/>
      <color rgb="FFFFFFFF"/>
      <name val="Calibri"/>
    </font>
    <font>
      <sz val="12"/>
      <color rgb="FF26272A"/>
      <name val="Calibri"/>
    </font>
    <font>
      <b/>
      <sz val="20"/>
      <color rgb="FF1D1E2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D1E21"/>
      </patternFill>
    </fill>
    <fill>
      <patternFill patternType="solid">
        <fgColor rgb="FFF7F5F0"/>
      </patternFill>
    </fill>
  </fills>
  <borders count="2">
    <border>
      <left/>
      <right/>
      <top/>
      <bottom/>
      <diagonal/>
    </border>
    <border>
      <left style="thin">
        <color rgb="FFE8E3D8"/>
      </left>
      <right style="thin">
        <color rgb="FFE8E3D8"/>
      </right>
      <top style="thin">
        <color rgb="FFE8E3D8"/>
      </top>
      <bottom style="thin">
        <color rgb="FFE8E3D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2" borderId="0" xfId="0" applyFill="1"/>
    <xf numFmtId="0" fontId="7" fillId="0" borderId="0" xfId="0" applyFont="1"/>
    <xf numFmtId="0" fontId="4" fillId="0" borderId="0" xfId="0" applyFont="1"/>
    <xf numFmtId="6" fontId="5" fillId="0" borderId="0" xfId="0" applyNumberFormat="1" applyFont="1"/>
    <xf numFmtId="6" fontId="8" fillId="0" borderId="0" xfId="0" applyNumberFormat="1" applyFont="1"/>
    <xf numFmtId="10" fontId="5" fillId="0" borderId="0" xfId="0" applyNumberFormat="1" applyFont="1"/>
    <xf numFmtId="0" fontId="6" fillId="3" borderId="1" xfId="0" applyFont="1" applyFill="1" applyBorder="1" applyAlignment="1">
      <alignment vertical="center" wrapText="1"/>
    </xf>
    <xf numFmtId="0" fontId="0" fillId="0" borderId="1" xfId="0" applyBorder="1"/>
    <xf numFmtId="6" fontId="0" fillId="0" borderId="1" xfId="0" applyNumberFormat="1" applyBorder="1"/>
    <xf numFmtId="6" fontId="4" fillId="0" borderId="1" xfId="0" applyNumberFormat="1" applyFont="1" applyBorder="1"/>
    <xf numFmtId="10" fontId="0" fillId="2" borderId="1" xfId="0" applyNumberFormat="1" applyFill="1" applyBorder="1"/>
    <xf numFmtId="6" fontId="0" fillId="2" borderId="1" xfId="0" applyNumberFormat="1" applyFill="1" applyBorder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9" fontId="0" fillId="2" borderId="1" xfId="0" applyNumberFormat="1" applyFill="1" applyBorder="1"/>
    <xf numFmtId="10" fontId="0" fillId="0" borderId="1" xfId="0" applyNumberFormat="1" applyBorder="1"/>
    <xf numFmtId="9" fontId="0" fillId="0" borderId="1" xfId="0" applyNumberFormat="1" applyBorder="1"/>
    <xf numFmtId="0" fontId="4" fillId="4" borderId="1" xfId="0" applyFont="1" applyFill="1" applyBorder="1"/>
    <xf numFmtId="0" fontId="0" fillId="4" borderId="1" xfId="0" applyFill="1" applyBorder="1"/>
    <xf numFmtId="6" fontId="4" fillId="4" borderId="1" xfId="0" applyNumberFormat="1" applyFont="1" applyFill="1" applyBorder="1"/>
    <xf numFmtId="10" fontId="4" fillId="4" borderId="1" xfId="0" applyNumberFormat="1" applyFont="1" applyFill="1" applyBorder="1"/>
    <xf numFmtId="0" fontId="6" fillId="3" borderId="1" xfId="0" applyFont="1" applyFill="1" applyBorder="1"/>
    <xf numFmtId="0" fontId="4" fillId="0" borderId="0" xfId="0" applyFont="1"/>
    <xf numFmtId="0" fontId="0" fillId="0" borderId="0" xfId="0"/>
  </cellXfs>
  <cellStyles count="1">
    <cellStyle name="Normal" xfId="0" builtinId="0"/>
  </cellStyles>
  <dxfs count="1">
    <dxf>
      <font>
        <b/>
        <color rgb="FF7A5D2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>
              <a:defRPr/>
            </a:pPr>
            <a:r>
              <a:t>Custo por ano de cada investimento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rgbClr val="7A5D2E"/>
            </a:solidFill>
            <a:ln>
              <a:solidFill>
                <a:srgbClr val="7A5D2E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Carteira!$A$11:$A$16</c:f>
              <c:strCache>
                <c:ptCount val="6"/>
                <c:pt idx="0">
                  <c:v>Fundo DI do banco</c:v>
                </c:pt>
                <c:pt idx="1">
                  <c:v>Previdência VGBL</c:v>
                </c:pt>
                <c:pt idx="2">
                  <c:v>Multimercado</c:v>
                </c:pt>
                <c:pt idx="3">
                  <c:v>Fundo de ações</c:v>
                </c:pt>
                <c:pt idx="4">
                  <c:v>CDB do banco</c:v>
                </c:pt>
                <c:pt idx="5">
                  <c:v>Tesouro IPCA+</c:v>
                </c:pt>
              </c:strCache>
            </c:strRef>
          </c:cat>
          <c:val>
            <c:numRef>
              <c:f>Carteira!$H$11:$H$16</c:f>
              <c:numCache>
                <c:formatCode>"R$"#,##0_);[Red]\("R$"#,##0\)</c:formatCode>
                <c:ptCount val="6"/>
                <c:pt idx="0">
                  <c:v>1800</c:v>
                </c:pt>
                <c:pt idx="1">
                  <c:v>1440</c:v>
                </c:pt>
                <c:pt idx="2">
                  <c:v>960</c:v>
                </c:pt>
                <c:pt idx="3">
                  <c:v>720</c:v>
                </c:pt>
                <c:pt idx="4">
                  <c:v>0</c:v>
                </c:pt>
                <c:pt idx="5">
                  <c:v>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7A5D2E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DF1-47FA-B322-E4F35FAB3341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1"/>
        </c:dLbls>
        <c:gapWidth val="6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t"/>
        <c:numFmt formatCode="&quot;R$&quot;\ 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</xdr:row>
      <xdr:rowOff>0</xdr:rowOff>
    </xdr:from>
    <xdr:ext cx="792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1"/>
  <sheetViews>
    <sheetView showGridLines="0" tabSelected="1" workbookViewId="0"/>
  </sheetViews>
  <sheetFormatPr defaultRowHeight="15" x14ac:dyDescent="0.25"/>
  <cols>
    <col min="1" max="1" width="3" customWidth="1"/>
    <col min="2" max="2" width="100" customWidth="1"/>
  </cols>
  <sheetData>
    <row r="2" spans="2:2" ht="23.25" x14ac:dyDescent="0.35">
      <c r="B2" s="1" t="s">
        <v>0</v>
      </c>
    </row>
    <row r="3" spans="2:2" x14ac:dyDescent="0.25">
      <c r="B3" s="2" t="s">
        <v>1</v>
      </c>
    </row>
    <row r="5" spans="2:2" ht="16.5" x14ac:dyDescent="0.25">
      <c r="B5" s="3" t="s">
        <v>2</v>
      </c>
    </row>
    <row r="6" spans="2:2" x14ac:dyDescent="0.25">
      <c r="B6" s="4" t="s">
        <v>3</v>
      </c>
    </row>
    <row r="7" spans="2:2" ht="30" x14ac:dyDescent="0.25">
      <c r="B7" s="5" t="s">
        <v>4</v>
      </c>
    </row>
    <row r="8" spans="2:2" x14ac:dyDescent="0.25">
      <c r="B8" s="4" t="s">
        <v>5</v>
      </c>
    </row>
    <row r="9" spans="2:2" x14ac:dyDescent="0.25">
      <c r="B9" s="5" t="s">
        <v>6</v>
      </c>
    </row>
    <row r="10" spans="2:2" x14ac:dyDescent="0.25">
      <c r="B10" s="4" t="s">
        <v>7</v>
      </c>
    </row>
    <row r="11" spans="2:2" x14ac:dyDescent="0.25">
      <c r="B11" s="5" t="s">
        <v>8</v>
      </c>
    </row>
    <row r="12" spans="2:2" x14ac:dyDescent="0.25">
      <c r="B12" s="4" t="s">
        <v>9</v>
      </c>
    </row>
    <row r="13" spans="2:2" x14ac:dyDescent="0.25">
      <c r="B13" s="5" t="s">
        <v>10</v>
      </c>
    </row>
    <row r="14" spans="2:2" ht="16.5" x14ac:dyDescent="0.25">
      <c r="B14" s="3" t="s">
        <v>11</v>
      </c>
    </row>
    <row r="15" spans="2:2" x14ac:dyDescent="0.25">
      <c r="B15" s="6" t="s">
        <v>12</v>
      </c>
    </row>
    <row r="16" spans="2:2" x14ac:dyDescent="0.25">
      <c r="B16" s="6" t="s">
        <v>13</v>
      </c>
    </row>
    <row r="17" spans="2:2" ht="30" x14ac:dyDescent="0.25">
      <c r="B17" s="6" t="s">
        <v>14</v>
      </c>
    </row>
    <row r="18" spans="2:2" ht="30" x14ac:dyDescent="0.25">
      <c r="B18" s="6" t="s">
        <v>15</v>
      </c>
    </row>
    <row r="19" spans="2:2" ht="30" x14ac:dyDescent="0.25">
      <c r="B19" s="6" t="s">
        <v>16</v>
      </c>
    </row>
    <row r="21" spans="2:2" x14ac:dyDescent="0.25">
      <c r="B21" s="7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41"/>
  <sheetViews>
    <sheetView showGridLines="0" workbookViewId="0"/>
  </sheetViews>
  <sheetFormatPr defaultRowHeight="15" x14ac:dyDescent="0.25"/>
  <cols>
    <col min="1" max="1" width="3" customWidth="1"/>
    <col min="2" max="2" width="34" customWidth="1"/>
    <col min="3" max="4" width="20" customWidth="1"/>
    <col min="5" max="6" width="22" customWidth="1"/>
    <col min="7" max="7" width="24" customWidth="1"/>
  </cols>
  <sheetData>
    <row r="2" spans="2:7" ht="23.25" x14ac:dyDescent="0.35">
      <c r="B2" s="1" t="s">
        <v>18</v>
      </c>
    </row>
    <row r="3" spans="2:7" ht="15.75" x14ac:dyDescent="0.25">
      <c r="B3" s="8" t="str">
        <f>IF(Carteira!C36=0,"Preencha a aba Carteira.","A carteira de R$ "&amp;FIXED(Carteira!C36,0)&amp;" paga R$ "&amp;FIXED(Carteira!H36,0)&amp;" por ano em taxas, "&amp;FIXED(Carteira!G36*100,2)&amp;"% do patrimônio.")</f>
        <v>A carteira de R$ 350.000 paga R$ 4.980 por ano em taxas, 1,42% do patrimônio.</v>
      </c>
    </row>
    <row r="5" spans="2:7" ht="18" customHeight="1" x14ac:dyDescent="0.25">
      <c r="B5" s="9" t="s">
        <v>19</v>
      </c>
      <c r="C5" s="10">
        <f>Carteira!C36</f>
        <v>350000</v>
      </c>
    </row>
    <row r="6" spans="2:7" ht="26.1" customHeight="1" x14ac:dyDescent="0.4">
      <c r="B6" s="9" t="s">
        <v>20</v>
      </c>
      <c r="C6" s="11">
        <f>Carteira!H36</f>
        <v>4980</v>
      </c>
    </row>
    <row r="7" spans="2:7" ht="18" customHeight="1" x14ac:dyDescent="0.25">
      <c r="B7" s="9" t="s">
        <v>21</v>
      </c>
      <c r="C7" s="10">
        <f>Carteira!H36/12</f>
        <v>415</v>
      </c>
    </row>
    <row r="8" spans="2:7" ht="18" customHeight="1" x14ac:dyDescent="0.25">
      <c r="B8" s="9" t="s">
        <v>22</v>
      </c>
      <c r="C8" s="12">
        <f>IF(Carteira!C36=0,0,Carteira!H36/Carteira!C36)</f>
        <v>1.4228571428571429E-2</v>
      </c>
    </row>
    <row r="9" spans="2:7" ht="18" customHeight="1" x14ac:dyDescent="0.25">
      <c r="B9" s="9" t="s">
        <v>23</v>
      </c>
      <c r="C9" s="12">
        <f>IF(Carteira!C36=0,0,(Carteira!H36-Carteira!L36)/Carteira!C36)</f>
        <v>3.3999999999999998E-3</v>
      </c>
    </row>
    <row r="10" spans="2:7" ht="18" customHeight="1" x14ac:dyDescent="0.25">
      <c r="B10" s="9" t="s">
        <v>24</v>
      </c>
      <c r="C10" s="10">
        <f>Carteira!L36</f>
        <v>3790</v>
      </c>
    </row>
    <row r="12" spans="2:7" ht="16.5" x14ac:dyDescent="0.25">
      <c r="B12" s="3" t="s">
        <v>25</v>
      </c>
    </row>
    <row r="13" spans="2:7" ht="30" customHeight="1" x14ac:dyDescent="0.25">
      <c r="B13" s="13" t="s">
        <v>26</v>
      </c>
      <c r="C13" s="13" t="s">
        <v>27</v>
      </c>
      <c r="D13" s="13" t="s">
        <v>28</v>
      </c>
      <c r="E13" s="13" t="s">
        <v>29</v>
      </c>
      <c r="F13" s="13" t="s">
        <v>30</v>
      </c>
      <c r="G13" s="13" t="s">
        <v>31</v>
      </c>
    </row>
    <row r="14" spans="2:7" x14ac:dyDescent="0.25">
      <c r="B14" s="14">
        <v>10</v>
      </c>
      <c r="C14" s="15">
        <f>Carteira!$C$36*((1+Carteira!$C$4)*(1-0))^B14+IFERROR(Carteira!$C$5*12*(((1+Carteira!$C$4)*(1-0))^B14-1)/(((1+Carteira!$C$4)*(1-0))-1),Carteira!$C$5*12*B14)</f>
        <v>1508216.5145893157</v>
      </c>
      <c r="D14" s="15">
        <f>Carteira!$C$36*((1+Carteira!$C$4)*(1-$C$8))^B14+IFERROR(Carteira!$C$5*12*(((1+Carteira!$C$4)*(1-$C$8))^B14-1)/(((1+Carteira!$C$4)*(1-$C$8))-1),Carteira!$C$5*12*B14)</f>
        <v>1331944.3702048245</v>
      </c>
      <c r="E14" s="16">
        <f>C14-D14</f>
        <v>176272.14438449126</v>
      </c>
      <c r="F14" s="15">
        <f>Carteira!$C$36*((1+Carteira!$C$4)*(1-$C$9))^B14+IFERROR(Carteira!$C$5*12*(((1+Carteira!$C$4)*(1-$C$9))^B14-1)/(((1+Carteira!$C$4)*(1-$C$9))-1),Carteira!$C$5*12*B14)</f>
        <v>1464139.2237832206</v>
      </c>
      <c r="G14" s="15">
        <f>F14-D14</f>
        <v>132194.85357839614</v>
      </c>
    </row>
    <row r="15" spans="2:7" x14ac:dyDescent="0.25">
      <c r="B15" s="14">
        <v>20</v>
      </c>
      <c r="C15" s="15">
        <f>Carteira!$C$36*((1+Carteira!$C$4)*(1-0))^B15+IFERROR(Carteira!$C$5*12*(((1+Carteira!$C$4)*(1-0))^B15-1)/(((1+Carteira!$C$4)*(1-0))-1),Carteira!$C$5*12*B15)</f>
        <v>5105461.2013012189</v>
      </c>
      <c r="D15" s="15">
        <f>Carteira!$C$36*((1+Carteira!$C$4)*(1-$C$8))^B15+IFERROR(Carteira!$C$5*12*(((1+Carteira!$C$4)*(1-$C$8))^B15-1)/(((1+Carteira!$C$4)*(1-$C$8))-1),Carteira!$C$5*12*B15)</f>
        <v>3974531.8685567947</v>
      </c>
      <c r="E15" s="16">
        <f>C15-D15</f>
        <v>1130929.3327444242</v>
      </c>
      <c r="F15" s="15">
        <f>Carteira!$C$36*((1+Carteira!$C$4)*(1-$C$9))^B15+IFERROR(Carteira!$C$5*12*(((1+Carteira!$C$4)*(1-$C$9))^B15-1)/(((1+Carteira!$C$4)*(1-$C$9))-1),Carteira!$C$5*12*B15)</f>
        <v>4808618.5759328911</v>
      </c>
      <c r="G15" s="15">
        <f>F15-D15</f>
        <v>834086.7073760964</v>
      </c>
    </row>
    <row r="16" spans="2:7" x14ac:dyDescent="0.25">
      <c r="B16" s="14">
        <v>30</v>
      </c>
      <c r="C16" s="15">
        <f>Carteira!$C$36*((1+Carteira!$C$4)*(1-0))^B16+IFERROR(Carteira!$C$5*12*(((1+Carteira!$C$4)*(1-0))^B16-1)/(((1+Carteira!$C$4)*(1-0))-1),Carteira!$C$5*12*B16)</f>
        <v>16277957.166501118</v>
      </c>
      <c r="D16" s="15">
        <f>Carteira!$C$36*((1+Carteira!$C$4)*(1-$C$8))^B16+IFERROR(Carteira!$C$5*12*(((1+Carteira!$C$4)*(1-$C$8))^B16-1)/(((1+Carteira!$C$4)*(1-$C$8))-1),Carteira!$C$5*12*B16)</f>
        <v>11086206.316050678</v>
      </c>
      <c r="E16" s="16">
        <f>C16-D16</f>
        <v>5191750.8504504394</v>
      </c>
      <c r="F16" s="15">
        <f>Carteira!$C$36*((1+Carteira!$C$4)*(1-$C$9))^B16+IFERROR(Carteira!$C$5*12*(((1+Carteira!$C$4)*(1-$C$9))^B16-1)/(((1+Carteira!$C$4)*(1-$C$9))-1),Carteira!$C$5*12*B16)</f>
        <v>14848245.489859637</v>
      </c>
      <c r="G16" s="15">
        <f>F16-D16</f>
        <v>3762039.1738089584</v>
      </c>
    </row>
    <row r="40" spans="2:2" x14ac:dyDescent="0.25">
      <c r="B40" s="2" t="s">
        <v>32</v>
      </c>
    </row>
    <row r="41" spans="2:2" x14ac:dyDescent="0.25">
      <c r="B41" s="2" t="s">
        <v>33</v>
      </c>
    </row>
  </sheetData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6"/>
  <sheetViews>
    <sheetView showGridLines="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32" customWidth="1"/>
    <col min="3" max="3" width="15" customWidth="1"/>
    <col min="4" max="6" width="14" customWidth="1"/>
    <col min="7" max="7" width="13" customWidth="1"/>
    <col min="8" max="8" width="14" customWidth="1"/>
    <col min="9" max="9" width="13" customWidth="1"/>
    <col min="10" max="10" width="12" customWidth="1"/>
    <col min="11" max="11" width="13" customWidth="1"/>
    <col min="12" max="12" width="15" customWidth="1"/>
  </cols>
  <sheetData>
    <row r="1" spans="1:12" ht="23.25" x14ac:dyDescent="0.35">
      <c r="A1" s="1" t="s">
        <v>34</v>
      </c>
    </row>
    <row r="2" spans="1:12" x14ac:dyDescent="0.25">
      <c r="A2" s="2" t="s">
        <v>35</v>
      </c>
    </row>
    <row r="4" spans="1:12" x14ac:dyDescent="0.25">
      <c r="A4" s="30" t="s">
        <v>36</v>
      </c>
      <c r="B4" s="31"/>
      <c r="C4" s="17">
        <v>0.12</v>
      </c>
    </row>
    <row r="5" spans="1:12" x14ac:dyDescent="0.25">
      <c r="A5" s="30" t="s">
        <v>37</v>
      </c>
      <c r="B5" s="31"/>
      <c r="C5" s="18">
        <v>2000</v>
      </c>
    </row>
    <row r="6" spans="1:12" x14ac:dyDescent="0.25">
      <c r="A6" s="30" t="s">
        <v>38</v>
      </c>
      <c r="B6" s="31"/>
      <c r="C6" s="17">
        <v>0.02</v>
      </c>
    </row>
    <row r="10" spans="1:12" ht="32.1" customHeight="1" x14ac:dyDescent="0.25">
      <c r="A10" s="19" t="s">
        <v>39</v>
      </c>
      <c r="B10" s="19" t="s">
        <v>40</v>
      </c>
      <c r="C10" s="20" t="s">
        <v>41</v>
      </c>
      <c r="D10" s="20" t="s">
        <v>42</v>
      </c>
      <c r="E10" s="20" t="s">
        <v>43</v>
      </c>
      <c r="F10" s="20" t="s">
        <v>44</v>
      </c>
      <c r="G10" s="20" t="s">
        <v>45</v>
      </c>
      <c r="H10" s="20" t="s">
        <v>20</v>
      </c>
      <c r="I10" s="20" t="s">
        <v>46</v>
      </c>
      <c r="J10" s="20" t="s">
        <v>47</v>
      </c>
      <c r="K10" s="20" t="s">
        <v>48</v>
      </c>
      <c r="L10" s="20" t="s">
        <v>24</v>
      </c>
    </row>
    <row r="11" spans="1:12" x14ac:dyDescent="0.25">
      <c r="A11" s="21" t="s">
        <v>49</v>
      </c>
      <c r="B11" s="21" t="s">
        <v>50</v>
      </c>
      <c r="C11" s="18">
        <v>120000</v>
      </c>
      <c r="D11" s="17">
        <v>1.4999999999999999E-2</v>
      </c>
      <c r="E11" s="22">
        <v>0</v>
      </c>
      <c r="F11" s="17">
        <v>0</v>
      </c>
      <c r="G11" s="23">
        <f t="shared" ref="G11:G35" si="0">IF(C11="","",N(D11)+N(E11)*MAX(0,$C$6)+N(F11))</f>
        <v>1.4999999999999999E-2</v>
      </c>
      <c r="H11" s="15">
        <f t="shared" ref="H11:H35" si="1">IF(C11="","",C11*G11)</f>
        <v>1800</v>
      </c>
      <c r="I11" s="24">
        <f t="shared" ref="I11:I35" si="2">IF(OR(C11="",$C$36=0),"",C11/$C$36)</f>
        <v>0.34285714285714286</v>
      </c>
      <c r="J11" s="24">
        <f t="shared" ref="J11:J35" si="3">IF(OR(C11="",$H$36=0),"",H11/$H$36)</f>
        <v>0.36144578313253012</v>
      </c>
      <c r="K11" s="23">
        <f>IF(C11="","",IFERROR(IF(VLOOKUP(B11,Referências!$A$5:$B$16,2,FALSE)="",G11,VLOOKUP(B11,Referências!$A$5:$B$16,2,FALSE)),G11))</f>
        <v>2E-3</v>
      </c>
      <c r="L11" s="15">
        <f t="shared" ref="L11:L35" si="4">IF(C11="","",C11*MAX(0,G11-K11))</f>
        <v>1560</v>
      </c>
    </row>
    <row r="12" spans="1:12" x14ac:dyDescent="0.25">
      <c r="A12" s="21" t="s">
        <v>51</v>
      </c>
      <c r="B12" s="21" t="s">
        <v>52</v>
      </c>
      <c r="C12" s="18">
        <v>80000</v>
      </c>
      <c r="D12" s="17">
        <v>1.7999999999999999E-2</v>
      </c>
      <c r="E12" s="22">
        <v>0</v>
      </c>
      <c r="F12" s="17">
        <v>0</v>
      </c>
      <c r="G12" s="23">
        <f t="shared" si="0"/>
        <v>1.7999999999999999E-2</v>
      </c>
      <c r="H12" s="15">
        <f t="shared" si="1"/>
        <v>1440</v>
      </c>
      <c r="I12" s="24">
        <f t="shared" si="2"/>
        <v>0.22857142857142856</v>
      </c>
      <c r="J12" s="24">
        <f t="shared" si="3"/>
        <v>0.28915662650602408</v>
      </c>
      <c r="K12" s="23">
        <f>IF(C12="","",IFERROR(IF(VLOOKUP(B12,Referências!$A$5:$B$16,2,FALSE)="",G12,VLOOKUP(B12,Referências!$A$5:$B$16,2,FALSE)),G12))</f>
        <v>5.0000000000000001E-3</v>
      </c>
      <c r="L12" s="15">
        <f t="shared" si="4"/>
        <v>1039.9999999999998</v>
      </c>
    </row>
    <row r="13" spans="1:12" x14ac:dyDescent="0.25">
      <c r="A13" s="21" t="s">
        <v>53</v>
      </c>
      <c r="B13" s="21" t="s">
        <v>54</v>
      </c>
      <c r="C13" s="18">
        <v>40000</v>
      </c>
      <c r="D13" s="17">
        <v>0.02</v>
      </c>
      <c r="E13" s="22">
        <v>0.2</v>
      </c>
      <c r="F13" s="17">
        <v>0</v>
      </c>
      <c r="G13" s="23">
        <f t="shared" si="0"/>
        <v>2.4E-2</v>
      </c>
      <c r="H13" s="15">
        <f t="shared" si="1"/>
        <v>960</v>
      </c>
      <c r="I13" s="24">
        <f t="shared" si="2"/>
        <v>0.11428571428571428</v>
      </c>
      <c r="J13" s="24">
        <f t="shared" si="3"/>
        <v>0.19277108433734941</v>
      </c>
      <c r="K13" s="23">
        <f>IF(C13="","",IFERROR(IF(VLOOKUP(B13,Referências!$A$5:$B$16,2,FALSE)="",G13,VLOOKUP(B13,Referências!$A$5:$B$16,2,FALSE)),G13))</f>
        <v>0.01</v>
      </c>
      <c r="L13" s="15">
        <f t="shared" si="4"/>
        <v>560</v>
      </c>
    </row>
    <row r="14" spans="1:12" x14ac:dyDescent="0.25">
      <c r="A14" s="21" t="s">
        <v>55</v>
      </c>
      <c r="B14" s="21" t="s">
        <v>55</v>
      </c>
      <c r="C14" s="18">
        <v>30000</v>
      </c>
      <c r="D14" s="17">
        <v>0.02</v>
      </c>
      <c r="E14" s="22">
        <v>0.2</v>
      </c>
      <c r="F14" s="17">
        <v>0</v>
      </c>
      <c r="G14" s="23">
        <f t="shared" si="0"/>
        <v>2.4E-2</v>
      </c>
      <c r="H14" s="15">
        <f t="shared" si="1"/>
        <v>720</v>
      </c>
      <c r="I14" s="24">
        <f t="shared" si="2"/>
        <v>8.5714285714285715E-2</v>
      </c>
      <c r="J14" s="24">
        <f t="shared" si="3"/>
        <v>0.14457831325301204</v>
      </c>
      <c r="K14" s="23">
        <f>IF(C14="","",IFERROR(IF(VLOOKUP(B14,Referências!$A$5:$B$16,2,FALSE)="",G14,VLOOKUP(B14,Referências!$A$5:$B$16,2,FALSE)),G14))</f>
        <v>3.0000000000000001E-3</v>
      </c>
      <c r="L14" s="15">
        <f t="shared" si="4"/>
        <v>630</v>
      </c>
    </row>
    <row r="15" spans="1:12" x14ac:dyDescent="0.25">
      <c r="A15" s="21" t="s">
        <v>56</v>
      </c>
      <c r="B15" s="21" t="s">
        <v>57</v>
      </c>
      <c r="C15" s="18">
        <v>50000</v>
      </c>
      <c r="D15" s="17">
        <v>0</v>
      </c>
      <c r="E15" s="22">
        <v>0</v>
      </c>
      <c r="F15" s="17">
        <v>0</v>
      </c>
      <c r="G15" s="23">
        <f t="shared" si="0"/>
        <v>0</v>
      </c>
      <c r="H15" s="15">
        <f t="shared" si="1"/>
        <v>0</v>
      </c>
      <c r="I15" s="24">
        <f t="shared" si="2"/>
        <v>0.14285714285714285</v>
      </c>
      <c r="J15" s="24">
        <f t="shared" si="3"/>
        <v>0</v>
      </c>
      <c r="K15" s="23">
        <f>IF(C15="","",IFERROR(IF(VLOOKUP(B15,Referências!$A$5:$B$16,2,FALSE)="",G15,VLOOKUP(B15,Referências!$A$5:$B$16,2,FALSE)),G15))</f>
        <v>0</v>
      </c>
      <c r="L15" s="15">
        <f t="shared" si="4"/>
        <v>0</v>
      </c>
    </row>
    <row r="16" spans="1:12" x14ac:dyDescent="0.25">
      <c r="A16" s="21" t="s">
        <v>58</v>
      </c>
      <c r="B16" s="21" t="s">
        <v>59</v>
      </c>
      <c r="C16" s="18">
        <v>30000</v>
      </c>
      <c r="D16" s="17">
        <v>0</v>
      </c>
      <c r="E16" s="22">
        <v>0</v>
      </c>
      <c r="F16" s="17">
        <v>2E-3</v>
      </c>
      <c r="G16" s="23">
        <f t="shared" si="0"/>
        <v>2E-3</v>
      </c>
      <c r="H16" s="15">
        <f t="shared" si="1"/>
        <v>60</v>
      </c>
      <c r="I16" s="24">
        <f t="shared" si="2"/>
        <v>8.5714285714285715E-2</v>
      </c>
      <c r="J16" s="24">
        <f t="shared" si="3"/>
        <v>1.2048192771084338E-2</v>
      </c>
      <c r="K16" s="23">
        <f>IF(C16="","",IFERROR(IF(VLOOKUP(B16,Referências!$A$5:$B$16,2,FALSE)="",G16,VLOOKUP(B16,Referências!$A$5:$B$16,2,FALSE)),G16))</f>
        <v>2E-3</v>
      </c>
      <c r="L16" s="15">
        <f t="shared" si="4"/>
        <v>0</v>
      </c>
    </row>
    <row r="17" spans="1:12" x14ac:dyDescent="0.25">
      <c r="A17" s="21"/>
      <c r="B17" s="21"/>
      <c r="C17" s="18"/>
      <c r="D17" s="17"/>
      <c r="E17" s="22"/>
      <c r="F17" s="17"/>
      <c r="G17" s="23" t="str">
        <f t="shared" si="0"/>
        <v/>
      </c>
      <c r="H17" s="15" t="str">
        <f t="shared" si="1"/>
        <v/>
      </c>
      <c r="I17" s="24" t="str">
        <f t="shared" si="2"/>
        <v/>
      </c>
      <c r="J17" s="24" t="str">
        <f t="shared" si="3"/>
        <v/>
      </c>
      <c r="K17" s="23" t="str">
        <f>IF(C17="","",IFERROR(IF(VLOOKUP(B17,Referências!$A$5:$B$16,2,FALSE)="",G17,VLOOKUP(B17,Referências!$A$5:$B$16,2,FALSE)),G17))</f>
        <v/>
      </c>
      <c r="L17" s="15" t="str">
        <f t="shared" si="4"/>
        <v/>
      </c>
    </row>
    <row r="18" spans="1:12" x14ac:dyDescent="0.25">
      <c r="A18" s="21"/>
      <c r="B18" s="21"/>
      <c r="C18" s="18"/>
      <c r="D18" s="17"/>
      <c r="E18" s="22"/>
      <c r="F18" s="17"/>
      <c r="G18" s="23" t="str">
        <f t="shared" si="0"/>
        <v/>
      </c>
      <c r="H18" s="15" t="str">
        <f t="shared" si="1"/>
        <v/>
      </c>
      <c r="I18" s="24" t="str">
        <f t="shared" si="2"/>
        <v/>
      </c>
      <c r="J18" s="24" t="str">
        <f t="shared" si="3"/>
        <v/>
      </c>
      <c r="K18" s="23" t="str">
        <f>IF(C18="","",IFERROR(IF(VLOOKUP(B18,Referências!$A$5:$B$16,2,FALSE)="",G18,VLOOKUP(B18,Referências!$A$5:$B$16,2,FALSE)),G18))</f>
        <v/>
      </c>
      <c r="L18" s="15" t="str">
        <f t="shared" si="4"/>
        <v/>
      </c>
    </row>
    <row r="19" spans="1:12" x14ac:dyDescent="0.25">
      <c r="A19" s="21"/>
      <c r="B19" s="21"/>
      <c r="C19" s="18"/>
      <c r="D19" s="17"/>
      <c r="E19" s="22"/>
      <c r="F19" s="17"/>
      <c r="G19" s="23" t="str">
        <f t="shared" si="0"/>
        <v/>
      </c>
      <c r="H19" s="15" t="str">
        <f t="shared" si="1"/>
        <v/>
      </c>
      <c r="I19" s="24" t="str">
        <f t="shared" si="2"/>
        <v/>
      </c>
      <c r="J19" s="24" t="str">
        <f t="shared" si="3"/>
        <v/>
      </c>
      <c r="K19" s="23" t="str">
        <f>IF(C19="","",IFERROR(IF(VLOOKUP(B19,Referências!$A$5:$B$16,2,FALSE)="",G19,VLOOKUP(B19,Referências!$A$5:$B$16,2,FALSE)),G19))</f>
        <v/>
      </c>
      <c r="L19" s="15" t="str">
        <f t="shared" si="4"/>
        <v/>
      </c>
    </row>
    <row r="20" spans="1:12" x14ac:dyDescent="0.25">
      <c r="A20" s="21"/>
      <c r="B20" s="21"/>
      <c r="C20" s="18"/>
      <c r="D20" s="17"/>
      <c r="E20" s="22"/>
      <c r="F20" s="17"/>
      <c r="G20" s="23" t="str">
        <f t="shared" si="0"/>
        <v/>
      </c>
      <c r="H20" s="15" t="str">
        <f t="shared" si="1"/>
        <v/>
      </c>
      <c r="I20" s="24" t="str">
        <f t="shared" si="2"/>
        <v/>
      </c>
      <c r="J20" s="24" t="str">
        <f t="shared" si="3"/>
        <v/>
      </c>
      <c r="K20" s="23" t="str">
        <f>IF(C20="","",IFERROR(IF(VLOOKUP(B20,Referências!$A$5:$B$16,2,FALSE)="",G20,VLOOKUP(B20,Referências!$A$5:$B$16,2,FALSE)),G20))</f>
        <v/>
      </c>
      <c r="L20" s="15" t="str">
        <f t="shared" si="4"/>
        <v/>
      </c>
    </row>
    <row r="21" spans="1:12" x14ac:dyDescent="0.25">
      <c r="A21" s="21"/>
      <c r="B21" s="21"/>
      <c r="C21" s="18"/>
      <c r="D21" s="17"/>
      <c r="E21" s="22"/>
      <c r="F21" s="17"/>
      <c r="G21" s="23" t="str">
        <f t="shared" si="0"/>
        <v/>
      </c>
      <c r="H21" s="15" t="str">
        <f t="shared" si="1"/>
        <v/>
      </c>
      <c r="I21" s="24" t="str">
        <f t="shared" si="2"/>
        <v/>
      </c>
      <c r="J21" s="24" t="str">
        <f t="shared" si="3"/>
        <v/>
      </c>
      <c r="K21" s="23" t="str">
        <f>IF(C21="","",IFERROR(IF(VLOOKUP(B21,Referências!$A$5:$B$16,2,FALSE)="",G21,VLOOKUP(B21,Referências!$A$5:$B$16,2,FALSE)),G21))</f>
        <v/>
      </c>
      <c r="L21" s="15" t="str">
        <f t="shared" si="4"/>
        <v/>
      </c>
    </row>
    <row r="22" spans="1:12" x14ac:dyDescent="0.25">
      <c r="A22" s="21"/>
      <c r="B22" s="21"/>
      <c r="C22" s="18"/>
      <c r="D22" s="17"/>
      <c r="E22" s="22"/>
      <c r="F22" s="17"/>
      <c r="G22" s="23" t="str">
        <f t="shared" si="0"/>
        <v/>
      </c>
      <c r="H22" s="15" t="str">
        <f t="shared" si="1"/>
        <v/>
      </c>
      <c r="I22" s="24" t="str">
        <f t="shared" si="2"/>
        <v/>
      </c>
      <c r="J22" s="24" t="str">
        <f t="shared" si="3"/>
        <v/>
      </c>
      <c r="K22" s="23" t="str">
        <f>IF(C22="","",IFERROR(IF(VLOOKUP(B22,Referências!$A$5:$B$16,2,FALSE)="",G22,VLOOKUP(B22,Referências!$A$5:$B$16,2,FALSE)),G22))</f>
        <v/>
      </c>
      <c r="L22" s="15" t="str">
        <f t="shared" si="4"/>
        <v/>
      </c>
    </row>
    <row r="23" spans="1:12" x14ac:dyDescent="0.25">
      <c r="A23" s="21"/>
      <c r="B23" s="21"/>
      <c r="C23" s="18"/>
      <c r="D23" s="17"/>
      <c r="E23" s="22"/>
      <c r="F23" s="17"/>
      <c r="G23" s="23" t="str">
        <f t="shared" si="0"/>
        <v/>
      </c>
      <c r="H23" s="15" t="str">
        <f t="shared" si="1"/>
        <v/>
      </c>
      <c r="I23" s="24" t="str">
        <f t="shared" si="2"/>
        <v/>
      </c>
      <c r="J23" s="24" t="str">
        <f t="shared" si="3"/>
        <v/>
      </c>
      <c r="K23" s="23" t="str">
        <f>IF(C23="","",IFERROR(IF(VLOOKUP(B23,Referências!$A$5:$B$16,2,FALSE)="",G23,VLOOKUP(B23,Referências!$A$5:$B$16,2,FALSE)),G23))</f>
        <v/>
      </c>
      <c r="L23" s="15" t="str">
        <f t="shared" si="4"/>
        <v/>
      </c>
    </row>
    <row r="24" spans="1:12" x14ac:dyDescent="0.25">
      <c r="A24" s="21"/>
      <c r="B24" s="21"/>
      <c r="C24" s="18"/>
      <c r="D24" s="17"/>
      <c r="E24" s="22"/>
      <c r="F24" s="17"/>
      <c r="G24" s="23" t="str">
        <f t="shared" si="0"/>
        <v/>
      </c>
      <c r="H24" s="15" t="str">
        <f t="shared" si="1"/>
        <v/>
      </c>
      <c r="I24" s="24" t="str">
        <f t="shared" si="2"/>
        <v/>
      </c>
      <c r="J24" s="24" t="str">
        <f t="shared" si="3"/>
        <v/>
      </c>
      <c r="K24" s="23" t="str">
        <f>IF(C24="","",IFERROR(IF(VLOOKUP(B24,Referências!$A$5:$B$16,2,FALSE)="",G24,VLOOKUP(B24,Referências!$A$5:$B$16,2,FALSE)),G24))</f>
        <v/>
      </c>
      <c r="L24" s="15" t="str">
        <f t="shared" si="4"/>
        <v/>
      </c>
    </row>
    <row r="25" spans="1:12" x14ac:dyDescent="0.25">
      <c r="A25" s="21"/>
      <c r="B25" s="21"/>
      <c r="C25" s="18"/>
      <c r="D25" s="17"/>
      <c r="E25" s="22"/>
      <c r="F25" s="17"/>
      <c r="G25" s="23" t="str">
        <f t="shared" si="0"/>
        <v/>
      </c>
      <c r="H25" s="15" t="str">
        <f t="shared" si="1"/>
        <v/>
      </c>
      <c r="I25" s="24" t="str">
        <f t="shared" si="2"/>
        <v/>
      </c>
      <c r="J25" s="24" t="str">
        <f t="shared" si="3"/>
        <v/>
      </c>
      <c r="K25" s="23" t="str">
        <f>IF(C25="","",IFERROR(IF(VLOOKUP(B25,Referências!$A$5:$B$16,2,FALSE)="",G25,VLOOKUP(B25,Referências!$A$5:$B$16,2,FALSE)),G25))</f>
        <v/>
      </c>
      <c r="L25" s="15" t="str">
        <f t="shared" si="4"/>
        <v/>
      </c>
    </row>
    <row r="26" spans="1:12" x14ac:dyDescent="0.25">
      <c r="A26" s="21"/>
      <c r="B26" s="21"/>
      <c r="C26" s="18"/>
      <c r="D26" s="17"/>
      <c r="E26" s="22"/>
      <c r="F26" s="17"/>
      <c r="G26" s="23" t="str">
        <f t="shared" si="0"/>
        <v/>
      </c>
      <c r="H26" s="15" t="str">
        <f t="shared" si="1"/>
        <v/>
      </c>
      <c r="I26" s="24" t="str">
        <f t="shared" si="2"/>
        <v/>
      </c>
      <c r="J26" s="24" t="str">
        <f t="shared" si="3"/>
        <v/>
      </c>
      <c r="K26" s="23" t="str">
        <f>IF(C26="","",IFERROR(IF(VLOOKUP(B26,Referências!$A$5:$B$16,2,FALSE)="",G26,VLOOKUP(B26,Referências!$A$5:$B$16,2,FALSE)),G26))</f>
        <v/>
      </c>
      <c r="L26" s="15" t="str">
        <f t="shared" si="4"/>
        <v/>
      </c>
    </row>
    <row r="27" spans="1:12" x14ac:dyDescent="0.25">
      <c r="A27" s="21"/>
      <c r="B27" s="21"/>
      <c r="C27" s="18"/>
      <c r="D27" s="17"/>
      <c r="E27" s="22"/>
      <c r="F27" s="17"/>
      <c r="G27" s="23" t="str">
        <f t="shared" si="0"/>
        <v/>
      </c>
      <c r="H27" s="15" t="str">
        <f t="shared" si="1"/>
        <v/>
      </c>
      <c r="I27" s="24" t="str">
        <f t="shared" si="2"/>
        <v/>
      </c>
      <c r="J27" s="24" t="str">
        <f t="shared" si="3"/>
        <v/>
      </c>
      <c r="K27" s="23" t="str">
        <f>IF(C27="","",IFERROR(IF(VLOOKUP(B27,Referências!$A$5:$B$16,2,FALSE)="",G27,VLOOKUP(B27,Referências!$A$5:$B$16,2,FALSE)),G27))</f>
        <v/>
      </c>
      <c r="L27" s="15" t="str">
        <f t="shared" si="4"/>
        <v/>
      </c>
    </row>
    <row r="28" spans="1:12" x14ac:dyDescent="0.25">
      <c r="A28" s="21"/>
      <c r="B28" s="21"/>
      <c r="C28" s="18"/>
      <c r="D28" s="17"/>
      <c r="E28" s="22"/>
      <c r="F28" s="17"/>
      <c r="G28" s="23" t="str">
        <f t="shared" si="0"/>
        <v/>
      </c>
      <c r="H28" s="15" t="str">
        <f t="shared" si="1"/>
        <v/>
      </c>
      <c r="I28" s="24" t="str">
        <f t="shared" si="2"/>
        <v/>
      </c>
      <c r="J28" s="24" t="str">
        <f t="shared" si="3"/>
        <v/>
      </c>
      <c r="K28" s="23" t="str">
        <f>IF(C28="","",IFERROR(IF(VLOOKUP(B28,Referências!$A$5:$B$16,2,FALSE)="",G28,VLOOKUP(B28,Referências!$A$5:$B$16,2,FALSE)),G28))</f>
        <v/>
      </c>
      <c r="L28" s="15" t="str">
        <f t="shared" si="4"/>
        <v/>
      </c>
    </row>
    <row r="29" spans="1:12" x14ac:dyDescent="0.25">
      <c r="A29" s="21"/>
      <c r="B29" s="21"/>
      <c r="C29" s="18"/>
      <c r="D29" s="17"/>
      <c r="E29" s="22"/>
      <c r="F29" s="17"/>
      <c r="G29" s="23" t="str">
        <f t="shared" si="0"/>
        <v/>
      </c>
      <c r="H29" s="15" t="str">
        <f t="shared" si="1"/>
        <v/>
      </c>
      <c r="I29" s="24" t="str">
        <f t="shared" si="2"/>
        <v/>
      </c>
      <c r="J29" s="24" t="str">
        <f t="shared" si="3"/>
        <v/>
      </c>
      <c r="K29" s="23" t="str">
        <f>IF(C29="","",IFERROR(IF(VLOOKUP(B29,Referências!$A$5:$B$16,2,FALSE)="",G29,VLOOKUP(B29,Referências!$A$5:$B$16,2,FALSE)),G29))</f>
        <v/>
      </c>
      <c r="L29" s="15" t="str">
        <f t="shared" si="4"/>
        <v/>
      </c>
    </row>
    <row r="30" spans="1:12" x14ac:dyDescent="0.25">
      <c r="A30" s="21"/>
      <c r="B30" s="21"/>
      <c r="C30" s="18"/>
      <c r="D30" s="17"/>
      <c r="E30" s="22"/>
      <c r="F30" s="17"/>
      <c r="G30" s="23" t="str">
        <f t="shared" si="0"/>
        <v/>
      </c>
      <c r="H30" s="15" t="str">
        <f t="shared" si="1"/>
        <v/>
      </c>
      <c r="I30" s="24" t="str">
        <f t="shared" si="2"/>
        <v/>
      </c>
      <c r="J30" s="24" t="str">
        <f t="shared" si="3"/>
        <v/>
      </c>
      <c r="K30" s="23" t="str">
        <f>IF(C30="","",IFERROR(IF(VLOOKUP(B30,Referências!$A$5:$B$16,2,FALSE)="",G30,VLOOKUP(B30,Referências!$A$5:$B$16,2,FALSE)),G30))</f>
        <v/>
      </c>
      <c r="L30" s="15" t="str">
        <f t="shared" si="4"/>
        <v/>
      </c>
    </row>
    <row r="31" spans="1:12" x14ac:dyDescent="0.25">
      <c r="A31" s="21"/>
      <c r="B31" s="21"/>
      <c r="C31" s="18"/>
      <c r="D31" s="17"/>
      <c r="E31" s="22"/>
      <c r="F31" s="17"/>
      <c r="G31" s="23" t="str">
        <f t="shared" si="0"/>
        <v/>
      </c>
      <c r="H31" s="15" t="str">
        <f t="shared" si="1"/>
        <v/>
      </c>
      <c r="I31" s="24" t="str">
        <f t="shared" si="2"/>
        <v/>
      </c>
      <c r="J31" s="24" t="str">
        <f t="shared" si="3"/>
        <v/>
      </c>
      <c r="K31" s="23" t="str">
        <f>IF(C31="","",IFERROR(IF(VLOOKUP(B31,Referências!$A$5:$B$16,2,FALSE)="",G31,VLOOKUP(B31,Referências!$A$5:$B$16,2,FALSE)),G31))</f>
        <v/>
      </c>
      <c r="L31" s="15" t="str">
        <f t="shared" si="4"/>
        <v/>
      </c>
    </row>
    <row r="32" spans="1:12" x14ac:dyDescent="0.25">
      <c r="A32" s="21"/>
      <c r="B32" s="21"/>
      <c r="C32" s="18"/>
      <c r="D32" s="17"/>
      <c r="E32" s="22"/>
      <c r="F32" s="17"/>
      <c r="G32" s="23" t="str">
        <f t="shared" si="0"/>
        <v/>
      </c>
      <c r="H32" s="15" t="str">
        <f t="shared" si="1"/>
        <v/>
      </c>
      <c r="I32" s="24" t="str">
        <f t="shared" si="2"/>
        <v/>
      </c>
      <c r="J32" s="24" t="str">
        <f t="shared" si="3"/>
        <v/>
      </c>
      <c r="K32" s="23" t="str">
        <f>IF(C32="","",IFERROR(IF(VLOOKUP(B32,Referências!$A$5:$B$16,2,FALSE)="",G32,VLOOKUP(B32,Referências!$A$5:$B$16,2,FALSE)),G32))</f>
        <v/>
      </c>
      <c r="L32" s="15" t="str">
        <f t="shared" si="4"/>
        <v/>
      </c>
    </row>
    <row r="33" spans="1:12" x14ac:dyDescent="0.25">
      <c r="A33" s="21"/>
      <c r="B33" s="21"/>
      <c r="C33" s="18"/>
      <c r="D33" s="17"/>
      <c r="E33" s="22"/>
      <c r="F33" s="17"/>
      <c r="G33" s="23" t="str">
        <f t="shared" si="0"/>
        <v/>
      </c>
      <c r="H33" s="15" t="str">
        <f t="shared" si="1"/>
        <v/>
      </c>
      <c r="I33" s="24" t="str">
        <f t="shared" si="2"/>
        <v/>
      </c>
      <c r="J33" s="24" t="str">
        <f t="shared" si="3"/>
        <v/>
      </c>
      <c r="K33" s="23" t="str">
        <f>IF(C33="","",IFERROR(IF(VLOOKUP(B33,Referências!$A$5:$B$16,2,FALSE)="",G33,VLOOKUP(B33,Referências!$A$5:$B$16,2,FALSE)),G33))</f>
        <v/>
      </c>
      <c r="L33" s="15" t="str">
        <f t="shared" si="4"/>
        <v/>
      </c>
    </row>
    <row r="34" spans="1:12" x14ac:dyDescent="0.25">
      <c r="A34" s="21"/>
      <c r="B34" s="21"/>
      <c r="C34" s="18"/>
      <c r="D34" s="17"/>
      <c r="E34" s="22"/>
      <c r="F34" s="17"/>
      <c r="G34" s="23" t="str">
        <f t="shared" si="0"/>
        <v/>
      </c>
      <c r="H34" s="15" t="str">
        <f t="shared" si="1"/>
        <v/>
      </c>
      <c r="I34" s="24" t="str">
        <f t="shared" si="2"/>
        <v/>
      </c>
      <c r="J34" s="24" t="str">
        <f t="shared" si="3"/>
        <v/>
      </c>
      <c r="K34" s="23" t="str">
        <f>IF(C34="","",IFERROR(IF(VLOOKUP(B34,Referências!$A$5:$B$16,2,FALSE)="",G34,VLOOKUP(B34,Referências!$A$5:$B$16,2,FALSE)),G34))</f>
        <v/>
      </c>
      <c r="L34" s="15" t="str">
        <f t="shared" si="4"/>
        <v/>
      </c>
    </row>
    <row r="35" spans="1:12" x14ac:dyDescent="0.25">
      <c r="A35" s="21"/>
      <c r="B35" s="21"/>
      <c r="C35" s="18"/>
      <c r="D35" s="17"/>
      <c r="E35" s="22"/>
      <c r="F35" s="17"/>
      <c r="G35" s="23" t="str">
        <f t="shared" si="0"/>
        <v/>
      </c>
      <c r="H35" s="15" t="str">
        <f t="shared" si="1"/>
        <v/>
      </c>
      <c r="I35" s="24" t="str">
        <f t="shared" si="2"/>
        <v/>
      </c>
      <c r="J35" s="24" t="str">
        <f t="shared" si="3"/>
        <v/>
      </c>
      <c r="K35" s="23" t="str">
        <f>IF(C35="","",IFERROR(IF(VLOOKUP(B35,Referências!$A$5:$B$16,2,FALSE)="",G35,VLOOKUP(B35,Referências!$A$5:$B$16,2,FALSE)),G35))</f>
        <v/>
      </c>
      <c r="L35" s="15" t="str">
        <f t="shared" si="4"/>
        <v/>
      </c>
    </row>
    <row r="36" spans="1:12" x14ac:dyDescent="0.25">
      <c r="A36" s="25" t="s">
        <v>60</v>
      </c>
      <c r="B36" s="26"/>
      <c r="C36" s="27">
        <f>SUM(C11:C35)</f>
        <v>350000</v>
      </c>
      <c r="D36" s="26"/>
      <c r="E36" s="26"/>
      <c r="F36" s="26"/>
      <c r="G36" s="28">
        <f>IF(C36=0,"",H36/C36)</f>
        <v>1.4228571428571429E-2</v>
      </c>
      <c r="H36" s="27">
        <f>SUM(H11:H35)</f>
        <v>4980</v>
      </c>
      <c r="I36" s="26"/>
      <c r="J36" s="26"/>
      <c r="K36" s="26"/>
      <c r="L36" s="27">
        <f>SUM(L11:L35)</f>
        <v>3790</v>
      </c>
    </row>
  </sheetData>
  <mergeCells count="3">
    <mergeCell ref="A4:B4"/>
    <mergeCell ref="A6:B6"/>
    <mergeCell ref="A5:B5"/>
  </mergeCells>
  <conditionalFormatting sqref="A11:L35">
    <cfRule type="expression" dxfId="0" priority="1">
      <formula>AND($H11&lt;&gt;"",$H11=MAX($H$11:$H$35),$H11&gt;0)</formula>
    </cfRule>
  </conditionalFormatting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Tipo" error="Escolha um tipo da lista." xr:uid="{00000000-0002-0000-0200-000000000000}">
          <x14:formula1>
            <xm:f>Referências!$A$5:$A$16</xm:f>
          </x14:formula1>
          <xm:sqref>B11 B12 B13 B14 B15 B16 B17 B18 B19 B20 B21 B22 B23 B24 B25 B26 B27 B28 B29 B30 B31 B32 B33 B34 B35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6"/>
  <sheetViews>
    <sheetView showGridLines="0" workbookViewId="0"/>
  </sheetViews>
  <sheetFormatPr defaultRowHeight="15" x14ac:dyDescent="0.25"/>
  <cols>
    <col min="1" max="1" width="36" customWidth="1"/>
    <col min="2" max="2" width="14" customWidth="1"/>
    <col min="3" max="3" width="58" customWidth="1"/>
  </cols>
  <sheetData>
    <row r="1" spans="1:3" ht="23.25" x14ac:dyDescent="0.35">
      <c r="A1" s="1" t="s">
        <v>61</v>
      </c>
    </row>
    <row r="2" spans="1:3" x14ac:dyDescent="0.25">
      <c r="A2" s="2" t="s">
        <v>62</v>
      </c>
    </row>
    <row r="4" spans="1:3" x14ac:dyDescent="0.25">
      <c r="A4" s="29" t="s">
        <v>40</v>
      </c>
      <c r="B4" s="29" t="s">
        <v>48</v>
      </c>
      <c r="C4" s="29" t="s">
        <v>63</v>
      </c>
    </row>
    <row r="5" spans="1:3" x14ac:dyDescent="0.25">
      <c r="A5" s="14" t="s">
        <v>50</v>
      </c>
      <c r="B5" s="17">
        <v>2E-3</v>
      </c>
      <c r="C5" s="14" t="s">
        <v>64</v>
      </c>
    </row>
    <row r="6" spans="1:3" x14ac:dyDescent="0.25">
      <c r="A6" s="14" t="s">
        <v>54</v>
      </c>
      <c r="B6" s="17">
        <v>0.01</v>
      </c>
      <c r="C6" s="14" t="s">
        <v>65</v>
      </c>
    </row>
    <row r="7" spans="1:3" x14ac:dyDescent="0.25">
      <c r="A7" s="14" t="s">
        <v>55</v>
      </c>
      <c r="B7" s="17">
        <v>3.0000000000000001E-3</v>
      </c>
      <c r="C7" s="14" t="s">
        <v>66</v>
      </c>
    </row>
    <row r="8" spans="1:3" x14ac:dyDescent="0.25">
      <c r="A8" s="14" t="s">
        <v>52</v>
      </c>
      <c r="B8" s="17">
        <v>5.0000000000000001E-3</v>
      </c>
      <c r="C8" s="14" t="s">
        <v>67</v>
      </c>
    </row>
    <row r="9" spans="1:3" x14ac:dyDescent="0.25">
      <c r="A9" s="14" t="s">
        <v>68</v>
      </c>
      <c r="B9" s="17">
        <v>8.0000000000000002E-3</v>
      </c>
      <c r="C9" s="14" t="s">
        <v>69</v>
      </c>
    </row>
    <row r="10" spans="1:3" x14ac:dyDescent="0.25">
      <c r="A10" s="14" t="s">
        <v>70</v>
      </c>
      <c r="B10" s="17">
        <v>3.0000000000000001E-3</v>
      </c>
      <c r="C10" s="14" t="s">
        <v>71</v>
      </c>
    </row>
    <row r="11" spans="1:3" x14ac:dyDescent="0.25">
      <c r="A11" s="14" t="s">
        <v>72</v>
      </c>
      <c r="B11" s="17"/>
      <c r="C11" s="14" t="s">
        <v>73</v>
      </c>
    </row>
    <row r="12" spans="1:3" x14ac:dyDescent="0.25">
      <c r="A12" s="14" t="s">
        <v>59</v>
      </c>
      <c r="B12" s="17">
        <v>2E-3</v>
      </c>
      <c r="C12" s="14" t="s">
        <v>74</v>
      </c>
    </row>
    <row r="13" spans="1:3" x14ac:dyDescent="0.25">
      <c r="A13" s="14" t="s">
        <v>57</v>
      </c>
      <c r="B13" s="17">
        <v>0</v>
      </c>
      <c r="C13" s="14" t="s">
        <v>75</v>
      </c>
    </row>
    <row r="14" spans="1:3" x14ac:dyDescent="0.25">
      <c r="A14" s="14" t="s">
        <v>76</v>
      </c>
      <c r="B14" s="17">
        <v>0</v>
      </c>
      <c r="C14" s="14" t="s">
        <v>77</v>
      </c>
    </row>
    <row r="15" spans="1:3" x14ac:dyDescent="0.25">
      <c r="A15" s="14" t="s">
        <v>78</v>
      </c>
      <c r="B15" s="17"/>
      <c r="C15" s="14" t="s">
        <v>79</v>
      </c>
    </row>
    <row r="16" spans="1:3" x14ac:dyDescent="0.25">
      <c r="A16" s="14" t="s">
        <v>80</v>
      </c>
      <c r="B16" s="17"/>
      <c r="C16" s="14" t="s">
        <v>81</v>
      </c>
    </row>
  </sheetData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Comece aqui</vt:lpstr>
      <vt:lpstr>Resumo</vt:lpstr>
      <vt:lpstr>Carteira</vt:lpstr>
      <vt:lpstr>Referências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Grupo Represa</dc:creator>
  <cp:lastModifiedBy>Grupo Represa</cp:lastModifiedBy>
  <dcterms:created xsi:type="dcterms:W3CDTF">2026-11-05T19:46:31Z</dcterms:created>
  <dcterms:modified xsi:type="dcterms:W3CDTF">2026-11-05T19:46:35Z</dcterms:modified>
</cp:coreProperties>
</file>